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<sst xmlns="http://schemas.openxmlformats.org/spreadsheetml/2006/main" count="1235" uniqueCount="291">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</sst>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87" sqref="G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285</v>
      </c>
      <c r="N3" s="244" t="s">
        <v>286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282</v>
      </c>
      <c r="F4" s="227" t="s">
        <v>116</v>
      </c>
      <c r="G4" s="229" t="s">
        <v>283</v>
      </c>
      <c r="H4" s="231" t="s">
        <v>284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290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287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321860.21</v>
      </c>
      <c r="G8" s="18">
        <f aca="true" t="shared" si="0" ref="G8:G54">F8-E8</f>
        <v>-6488.189999999944</v>
      </c>
      <c r="H8" s="45">
        <f>F8/E8*100</f>
        <v>98.0239921985306</v>
      </c>
      <c r="I8" s="31">
        <f aca="true" t="shared" si="1" ref="I8:I54">F8-D8</f>
        <v>-195568.78999999998</v>
      </c>
      <c r="J8" s="31">
        <f aca="true" t="shared" si="2" ref="J8:J14">F8/D8*100</f>
        <v>62.20374389529771</v>
      </c>
      <c r="K8" s="18">
        <f>K9+K15+K18+K19+K20+K32</f>
        <v>44548.984000000026</v>
      </c>
      <c r="L8" s="18"/>
      <c r="M8" s="18">
        <f>M9+M15+M18+M19+M20+M32+M17</f>
        <v>46752</v>
      </c>
      <c r="N8" s="18">
        <f>N9+N15+N18+N19+N20+N32+N17</f>
        <v>16741.094999999994</v>
      </c>
      <c r="O8" s="31">
        <f aca="true" t="shared" si="3" ref="O8:O54">N8-M8</f>
        <v>-30010.905000000006</v>
      </c>
      <c r="P8" s="31">
        <f>F8/M8*100</f>
        <v>688.4415853867215</v>
      </c>
      <c r="Q8" s="31">
        <f>N8-33748.16</f>
        <v>-17007.06500000001</v>
      </c>
      <c r="R8" s="125">
        <f>N8/33748.16</f>
        <v>0.4960594888728746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184116.88</v>
      </c>
      <c r="G9" s="43">
        <f t="shared" si="0"/>
        <v>-4187.7699999999895</v>
      </c>
      <c r="H9" s="35">
        <f aca="true" t="shared" si="4" ref="H9:H32">F9/E9*100</f>
        <v>97.77606660271003</v>
      </c>
      <c r="I9" s="50">
        <f t="shared" si="1"/>
        <v>-128573.12</v>
      </c>
      <c r="J9" s="50">
        <f t="shared" si="2"/>
        <v>58.88160158623557</v>
      </c>
      <c r="K9" s="132">
        <f>F9-217885.62/75*60</f>
        <v>9808.38400000002</v>
      </c>
      <c r="L9" s="132">
        <f>F9/(217885.62/75*60)*100</f>
        <v>105.6270257761848</v>
      </c>
      <c r="M9" s="35">
        <f>E9-червень!E9</f>
        <v>28146</v>
      </c>
      <c r="N9" s="35">
        <f>F9-червень!F9</f>
        <v>12737.160000000003</v>
      </c>
      <c r="O9" s="47">
        <f t="shared" si="3"/>
        <v>-15408.839999999997</v>
      </c>
      <c r="P9" s="50">
        <f aca="true" t="shared" si="5" ref="P9:P32">N9/M9*100</f>
        <v>45.253890428480084</v>
      </c>
      <c r="Q9" s="132">
        <f>N9-26568.11</f>
        <v>-13830.949999999997</v>
      </c>
      <c r="R9" s="133">
        <f>N9/26568.11</f>
        <v>0.47941535924083434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163631.42</v>
      </c>
      <c r="G10" s="135">
        <f t="shared" si="0"/>
        <v>-1598.8299999999872</v>
      </c>
      <c r="H10" s="137">
        <f t="shared" si="4"/>
        <v>99.0323624154778</v>
      </c>
      <c r="I10" s="136">
        <f t="shared" si="1"/>
        <v>-76778.57999999999</v>
      </c>
      <c r="J10" s="136">
        <f t="shared" si="2"/>
        <v>68.06348321617239</v>
      </c>
      <c r="K10" s="138">
        <f>F10-193695.6/75*60</f>
        <v>8674.940000000002</v>
      </c>
      <c r="L10" s="138">
        <f>F10/(193695.6/75*60)*100</f>
        <v>105.59830734410073</v>
      </c>
      <c r="M10" s="35">
        <f>E10-червень!E10</f>
        <v>23736</v>
      </c>
      <c r="N10" s="35">
        <f>F10-червень!F10</f>
        <v>11404.520000000019</v>
      </c>
      <c r="O10" s="138">
        <f t="shared" si="3"/>
        <v>-12331.479999999981</v>
      </c>
      <c r="P10" s="136">
        <f t="shared" si="5"/>
        <v>48.047354229861895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9380.94</v>
      </c>
      <c r="G11" s="135">
        <f t="shared" si="0"/>
        <v>-3327.0599999999995</v>
      </c>
      <c r="H11" s="137">
        <f t="shared" si="4"/>
        <v>73.81916902738432</v>
      </c>
      <c r="I11" s="136">
        <f t="shared" si="1"/>
        <v>-14319.06</v>
      </c>
      <c r="J11" s="136">
        <f t="shared" si="2"/>
        <v>39.5820253164557</v>
      </c>
      <c r="K11" s="138">
        <f>F11-13818.75/75*60</f>
        <v>-1674.0599999999995</v>
      </c>
      <c r="L11" s="138">
        <f>F11/(13818.75/75*60)*100</f>
        <v>84.85698778833107</v>
      </c>
      <c r="M11" s="35">
        <f>E11-червень!E11</f>
        <v>1920</v>
      </c>
      <c r="N11" s="35">
        <f>F11-червень!F11</f>
        <v>167.84000000000015</v>
      </c>
      <c r="O11" s="138">
        <f t="shared" si="3"/>
        <v>-1752.1599999999999</v>
      </c>
      <c r="P11" s="136">
        <f t="shared" si="5"/>
        <v>8.741666666666674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2780.38</v>
      </c>
      <c r="G12" s="135">
        <f t="shared" si="0"/>
        <v>-48.61999999999989</v>
      </c>
      <c r="H12" s="137">
        <f t="shared" si="4"/>
        <v>98.28137150936728</v>
      </c>
      <c r="I12" s="136">
        <f t="shared" si="1"/>
        <v>-3019.62</v>
      </c>
      <c r="J12" s="136">
        <f t="shared" si="2"/>
        <v>47.937586206896555</v>
      </c>
      <c r="K12" s="138">
        <f>F12-4382.58/75*60</f>
        <v>-725.6839999999997</v>
      </c>
      <c r="L12" s="138">
        <f>F12/(4382.58*60)*100</f>
        <v>1.0573604284842872</v>
      </c>
      <c r="M12" s="35">
        <f>E12-червень!E12</f>
        <v>330</v>
      </c>
      <c r="N12" s="35">
        <f>F12-червень!F12</f>
        <v>187.8499999999999</v>
      </c>
      <c r="O12" s="138">
        <f t="shared" si="3"/>
        <v>-142.1500000000001</v>
      </c>
      <c r="P12" s="136">
        <f t="shared" si="5"/>
        <v>56.9242424242424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3124.54</v>
      </c>
      <c r="G13" s="135">
        <f t="shared" si="0"/>
        <v>-1988.8599999999997</v>
      </c>
      <c r="H13" s="137">
        <f t="shared" si="4"/>
        <v>61.104939961669345</v>
      </c>
      <c r="I13" s="136">
        <f t="shared" si="1"/>
        <v>-5275.46</v>
      </c>
      <c r="J13" s="136">
        <f t="shared" si="2"/>
        <v>37.19690476190476</v>
      </c>
      <c r="K13" s="138">
        <f>F13-5960.54/75*60</f>
        <v>-1643.8919999999998</v>
      </c>
      <c r="L13" s="138">
        <f>F13/(5960.54/75*60)*100</f>
        <v>65.52552285531176</v>
      </c>
      <c r="M13" s="35">
        <f>E13-червень!E13</f>
        <v>1769.9999999999995</v>
      </c>
      <c r="N13" s="35">
        <f>F13-червень!F13</f>
        <v>341.1300000000001</v>
      </c>
      <c r="O13" s="138">
        <f t="shared" si="3"/>
        <v>-1428.8699999999994</v>
      </c>
      <c r="P13" s="136">
        <f t="shared" si="5"/>
        <v>19.272881355932213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5199.59</v>
      </c>
      <c r="G14" s="135">
        <f t="shared" si="0"/>
        <v>2775.59</v>
      </c>
      <c r="H14" s="137">
        <f t="shared" si="4"/>
        <v>214.5045379537954</v>
      </c>
      <c r="I14" s="136">
        <f t="shared" si="1"/>
        <v>819.5900000000001</v>
      </c>
      <c r="J14" s="136">
        <f t="shared" si="2"/>
        <v>118.71210045662102</v>
      </c>
      <c r="K14" s="138">
        <f>F14-28.15/75*60</f>
        <v>5177.07</v>
      </c>
      <c r="L14" s="138">
        <f>F14/(28.15/75*60)*100</f>
        <v>23088.76554174068</v>
      </c>
      <c r="M14" s="35">
        <f>E14-червень!E14</f>
        <v>390</v>
      </c>
      <c r="N14" s="35">
        <f>F14-червень!F14</f>
        <v>635.8199999999997</v>
      </c>
      <c r="O14" s="138">
        <f t="shared" si="3"/>
        <v>245.8199999999997</v>
      </c>
      <c r="P14" s="136">
        <f t="shared" si="5"/>
        <v>163.03076923076915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30191.27</v>
      </c>
      <c r="G19" s="43">
        <f t="shared" si="0"/>
        <v>3968.5200000000004</v>
      </c>
      <c r="H19" s="35">
        <f t="shared" si="4"/>
        <v>115.13388183924265</v>
      </c>
      <c r="I19" s="50">
        <f t="shared" si="1"/>
        <v>241.27000000000044</v>
      </c>
      <c r="J19" s="178">
        <f>F19/D19*100</f>
        <v>100.80557595993322</v>
      </c>
      <c r="K19" s="179">
        <f>F19-0</f>
        <v>30191.27</v>
      </c>
      <c r="L19" s="180"/>
      <c r="M19" s="35">
        <f>E19-червень!E19</f>
        <v>2720</v>
      </c>
      <c r="N19" s="35">
        <f>F19-червень!F19</f>
        <v>74.77600000000166</v>
      </c>
      <c r="O19" s="47">
        <f t="shared" si="3"/>
        <v>-2645.2239999999983</v>
      </c>
      <c r="P19" s="50">
        <f t="shared" si="5"/>
        <v>2.7491176470588843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104370.06</v>
      </c>
      <c r="G20" s="43">
        <f t="shared" si="0"/>
        <v>-5264.639999999999</v>
      </c>
      <c r="H20" s="35">
        <f t="shared" si="4"/>
        <v>95.19801668632284</v>
      </c>
      <c r="I20" s="50">
        <f t="shared" si="1"/>
        <v>-62399.94</v>
      </c>
      <c r="J20" s="178">
        <f aca="true" t="shared" si="6" ref="J20:J46">F20/D20*100</f>
        <v>62.5832343946753</v>
      </c>
      <c r="K20" s="178">
        <f>K21+K25+K26+K27</f>
        <v>7028.179999999997</v>
      </c>
      <c r="L20" s="136"/>
      <c r="M20" s="35">
        <f>E20-червень!E20</f>
        <v>15878.800000000003</v>
      </c>
      <c r="N20" s="35">
        <f>F20-червень!F20</f>
        <v>3925.708999999988</v>
      </c>
      <c r="O20" s="47">
        <f t="shared" si="3"/>
        <v>-11953.091000000015</v>
      </c>
      <c r="P20" s="50">
        <f t="shared" si="5"/>
        <v>24.72295765423072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56236.58</v>
      </c>
      <c r="G21" s="43">
        <f t="shared" si="0"/>
        <v>-1441.6199999999953</v>
      </c>
      <c r="H21" s="35">
        <f t="shared" si="4"/>
        <v>97.50058080869375</v>
      </c>
      <c r="I21" s="50">
        <f t="shared" si="1"/>
        <v>-41963.42</v>
      </c>
      <c r="J21" s="178">
        <f t="shared" si="6"/>
        <v>57.26739307535642</v>
      </c>
      <c r="K21" s="178">
        <f>K22+K23+K24</f>
        <v>8875.319999999998</v>
      </c>
      <c r="L21" s="136"/>
      <c r="M21" s="35">
        <f>E21-червень!E21</f>
        <v>9321</v>
      </c>
      <c r="N21" s="35">
        <f>F21-червень!F21</f>
        <v>1479.2639999999956</v>
      </c>
      <c r="O21" s="47">
        <f t="shared" si="3"/>
        <v>-7841.736000000004</v>
      </c>
      <c r="P21" s="50">
        <f t="shared" si="5"/>
        <v>15.870228516253574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5231.12</v>
      </c>
      <c r="G22" s="135">
        <f t="shared" si="0"/>
        <v>4651.92</v>
      </c>
      <c r="H22" s="137">
        <f t="shared" si="4"/>
        <v>903.1629834254142</v>
      </c>
      <c r="I22" s="136">
        <f t="shared" si="1"/>
        <v>4231.12</v>
      </c>
      <c r="J22" s="136">
        <f t="shared" si="6"/>
        <v>523.112</v>
      </c>
      <c r="K22" s="136">
        <f>F22-259.1</f>
        <v>4972.0199999999995</v>
      </c>
      <c r="L22" s="136">
        <f>F22/259.1*100</f>
        <v>2018.9579313006557</v>
      </c>
      <c r="M22" s="35">
        <f>E22-червень!E22</f>
        <v>213.00000000000006</v>
      </c>
      <c r="N22" s="35">
        <f>F22-червень!F22</f>
        <v>274.0169999999998</v>
      </c>
      <c r="O22" s="138">
        <f t="shared" si="3"/>
        <v>61.01699999999977</v>
      </c>
      <c r="P22" s="136">
        <f t="shared" si="5"/>
        <v>128.64647887323932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433.2</v>
      </c>
      <c r="G23" s="135">
        <f t="shared" si="0"/>
        <v>-116.80000000000001</v>
      </c>
      <c r="H23" s="137"/>
      <c r="I23" s="136">
        <f t="shared" si="1"/>
        <v>-1066.8</v>
      </c>
      <c r="J23" s="136">
        <f t="shared" si="6"/>
        <v>28.88</v>
      </c>
      <c r="K23" s="136">
        <f>F23-0</f>
        <v>433.2</v>
      </c>
      <c r="L23" s="136"/>
      <c r="M23" s="35">
        <f>E23-червень!E23</f>
        <v>300</v>
      </c>
      <c r="N23" s="35">
        <f>F23-червень!F23</f>
        <v>222.51999999999998</v>
      </c>
      <c r="O23" s="138">
        <f t="shared" si="3"/>
        <v>-77.48000000000002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50572.26</v>
      </c>
      <c r="G24" s="135">
        <f t="shared" si="0"/>
        <v>-5976.739999999998</v>
      </c>
      <c r="H24" s="137">
        <f t="shared" si="4"/>
        <v>89.43086526729032</v>
      </c>
      <c r="I24" s="136">
        <f t="shared" si="1"/>
        <v>-45127.74</v>
      </c>
      <c r="J24" s="136">
        <f t="shared" si="6"/>
        <v>52.84457680250784</v>
      </c>
      <c r="K24" s="139">
        <f>F24-47102.16</f>
        <v>3470.0999999999985</v>
      </c>
      <c r="L24" s="139">
        <f>F24/47102.16*100</f>
        <v>107.36717806571927</v>
      </c>
      <c r="M24" s="35">
        <f>E24-червень!E24</f>
        <v>8808</v>
      </c>
      <c r="N24" s="35">
        <f>F24-червень!F24</f>
        <v>982.726999999999</v>
      </c>
      <c r="O24" s="138">
        <f t="shared" si="3"/>
        <v>-7825.273000000001</v>
      </c>
      <c r="P24" s="136">
        <f t="shared" si="5"/>
        <v>11.157209355131686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-424.34</v>
      </c>
      <c r="G26" s="43">
        <f t="shared" si="0"/>
        <v>-424.34</v>
      </c>
      <c r="H26" s="35"/>
      <c r="I26" s="50">
        <f t="shared" si="1"/>
        <v>-424.34</v>
      </c>
      <c r="J26" s="136"/>
      <c r="K26" s="178">
        <f>F26-3736.89</f>
        <v>-4161.23</v>
      </c>
      <c r="L26" s="178">
        <f>F26/3736.89*100</f>
        <v>-11.355431923337319</v>
      </c>
      <c r="M26" s="35">
        <f>E26-червень!E26</f>
        <v>0</v>
      </c>
      <c r="N26" s="35">
        <f>F26-червень!F26</f>
        <v>-20.980999999999995</v>
      </c>
      <c r="O26" s="47">
        <f t="shared" si="3"/>
        <v>-20.980999999999995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48520.4</v>
      </c>
      <c r="G27" s="43">
        <f t="shared" si="0"/>
        <v>-3406.0999999999985</v>
      </c>
      <c r="H27" s="35">
        <f t="shared" si="4"/>
        <v>93.4405361424321</v>
      </c>
      <c r="I27" s="50">
        <f t="shared" si="1"/>
        <v>-19979.6</v>
      </c>
      <c r="J27" s="178">
        <f t="shared" si="6"/>
        <v>70.83270072992701</v>
      </c>
      <c r="K27" s="132">
        <f>F27-46209.73</f>
        <v>2310.6699999999983</v>
      </c>
      <c r="L27" s="132">
        <f>F27/46209.73*100</f>
        <v>105.00039710251498</v>
      </c>
      <c r="M27" s="35">
        <f>E27-червень!E27</f>
        <v>6550</v>
      </c>
      <c r="N27" s="35">
        <f>F27-червень!F27</f>
        <v>2467.4300000000003</v>
      </c>
      <c r="O27" s="47">
        <f t="shared" si="3"/>
        <v>-4082.5699999999997</v>
      </c>
      <c r="P27" s="50">
        <f t="shared" si="5"/>
        <v>37.670687022900765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11947.48</v>
      </c>
      <c r="G29" s="135">
        <f t="shared" si="0"/>
        <v>-292.52000000000044</v>
      </c>
      <c r="H29" s="137">
        <f t="shared" si="4"/>
        <v>97.61013071895425</v>
      </c>
      <c r="I29" s="136">
        <f t="shared" si="1"/>
        <v>-4552.52</v>
      </c>
      <c r="J29" s="136">
        <f t="shared" si="6"/>
        <v>72.40896969696969</v>
      </c>
      <c r="K29" s="139">
        <f>F29-12569.54</f>
        <v>-622.0600000000013</v>
      </c>
      <c r="L29" s="139">
        <f>F29/12569.54*100</f>
        <v>95.05105198758267</v>
      </c>
      <c r="M29" s="35">
        <f>E29-червень!E29</f>
        <v>1200</v>
      </c>
      <c r="N29" s="35">
        <f>F29-червень!F29</f>
        <v>524.3199999999997</v>
      </c>
      <c r="O29" s="138">
        <f t="shared" si="3"/>
        <v>-675.6800000000003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36565.62</v>
      </c>
      <c r="G30" s="135">
        <f t="shared" si="0"/>
        <v>-3120.8799999999974</v>
      </c>
      <c r="H30" s="137">
        <f t="shared" si="4"/>
        <v>92.1361672105124</v>
      </c>
      <c r="I30" s="136">
        <f t="shared" si="1"/>
        <v>-15434.379999999997</v>
      </c>
      <c r="J30" s="136">
        <f t="shared" si="6"/>
        <v>70.3185</v>
      </c>
      <c r="K30" s="139">
        <f>F30-33639.82</f>
        <v>2925.800000000003</v>
      </c>
      <c r="L30" s="139">
        <f>F30/33639.82*100</f>
        <v>108.6974306045633</v>
      </c>
      <c r="M30" s="35">
        <f>E30-червень!E30</f>
        <v>5350</v>
      </c>
      <c r="N30" s="35">
        <f>F30-червень!F30</f>
        <v>1942.770000000004</v>
      </c>
      <c r="O30" s="138">
        <f t="shared" si="3"/>
        <v>-3407.229999999996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4021.83</v>
      </c>
      <c r="G32" s="43">
        <f t="shared" si="0"/>
        <v>19.829999999999927</v>
      </c>
      <c r="H32" s="35">
        <f t="shared" si="4"/>
        <v>100.49550224887555</v>
      </c>
      <c r="I32" s="50">
        <f t="shared" si="1"/>
        <v>-3478.17</v>
      </c>
      <c r="J32" s="178">
        <f t="shared" si="6"/>
        <v>53.624399999999994</v>
      </c>
      <c r="K32" s="178">
        <f>F32-5308.17</f>
        <v>-1286.3400000000001</v>
      </c>
      <c r="L32" s="178">
        <f>F32/5308.17*100</f>
        <v>75.76678968458056</v>
      </c>
      <c r="M32" s="35">
        <f>E32-червень!E32</f>
        <v>7.199999999999818</v>
      </c>
      <c r="N32" s="35">
        <f>F32-червень!F32</f>
        <v>1.0299999999997453</v>
      </c>
      <c r="O32" s="47">
        <f t="shared" si="3"/>
        <v>-6.170000000000073</v>
      </c>
      <c r="P32" s="50">
        <f t="shared" si="5"/>
        <v>14.30555555555238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17447.54</v>
      </c>
      <c r="G33" s="44">
        <f t="shared" si="0"/>
        <v>10272.54</v>
      </c>
      <c r="H33" s="45">
        <f>F33/E33*100</f>
        <v>243.1712891986063</v>
      </c>
      <c r="I33" s="31">
        <f t="shared" si="1"/>
        <v>4880.4400000000005</v>
      </c>
      <c r="J33" s="31">
        <f t="shared" si="6"/>
        <v>138.83505343317074</v>
      </c>
      <c r="K33" s="18">
        <f>K34+K35+K36+K37+K38+K41+K42+K47+K48+K52+K40</f>
        <v>10005.14</v>
      </c>
      <c r="L33" s="18"/>
      <c r="M33" s="18">
        <f>M34+M35+M36+M37+M38+M41+M42+M47+M48+M52+M40+M39</f>
        <v>1057.5</v>
      </c>
      <c r="N33" s="18">
        <f>N34+N35+N36+N37+N38+N41+N42+N47+N48+N52+N40+N39</f>
        <v>1574.5400000000004</v>
      </c>
      <c r="O33" s="49">
        <f t="shared" si="3"/>
        <v>517.0400000000004</v>
      </c>
      <c r="P33" s="31">
        <f>N33/M33*100</f>
        <v>148.8926713947991</v>
      </c>
      <c r="Q33" s="31">
        <f>N33-1017.63</f>
        <v>556.9100000000004</v>
      </c>
      <c r="R33" s="127">
        <f>N33/1017.63</f>
        <v>1.547261774908366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82.96</v>
      </c>
      <c r="G38" s="43">
        <f t="shared" si="0"/>
        <v>2.9599999999999937</v>
      </c>
      <c r="H38" s="35">
        <f>F38/E38*100</f>
        <v>103.69999999999999</v>
      </c>
      <c r="I38" s="50">
        <f t="shared" si="1"/>
        <v>-57.040000000000006</v>
      </c>
      <c r="J38" s="50">
        <f t="shared" si="6"/>
        <v>59.25714285714285</v>
      </c>
      <c r="K38" s="50">
        <f>F38-78.24</f>
        <v>4.719999999999999</v>
      </c>
      <c r="L38" s="50">
        <f>F38/78.24*100</f>
        <v>106.03271983640082</v>
      </c>
      <c r="M38" s="35">
        <f>E38-червень!E38</f>
        <v>15</v>
      </c>
      <c r="N38" s="35">
        <f>F38-червень!F38</f>
        <v>1.3399999999999892</v>
      </c>
      <c r="O38" s="47">
        <f t="shared" si="3"/>
        <v>-13.66000000000001</v>
      </c>
      <c r="P38" s="50">
        <f>N38/M38*100</f>
        <v>8.93333333333326</v>
      </c>
      <c r="Q38" s="50">
        <f>N38-9.02</f>
        <v>-7.68000000000001</v>
      </c>
      <c r="R38" s="126">
        <f>N38/9.02</f>
        <v>0.14855875831485468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5232.71</v>
      </c>
      <c r="G40" s="43"/>
      <c r="H40" s="35"/>
      <c r="I40" s="50">
        <f t="shared" si="1"/>
        <v>5232.71</v>
      </c>
      <c r="J40" s="50"/>
      <c r="K40" s="50">
        <f>F40-0</f>
        <v>5232.71</v>
      </c>
      <c r="L40" s="50"/>
      <c r="M40" s="35">
        <f>E40-червень!E40</f>
        <v>0</v>
      </c>
      <c r="N40" s="35">
        <f>F40-червень!F40</f>
        <v>305.1099999999997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4266.06</v>
      </c>
      <c r="G42" s="43">
        <f t="shared" si="0"/>
        <v>3704.0600000000004</v>
      </c>
      <c r="H42" s="35">
        <f>F42/E42*100</f>
        <v>759.0854092526691</v>
      </c>
      <c r="I42" s="50">
        <f t="shared" si="1"/>
        <v>3166.0600000000004</v>
      </c>
      <c r="J42" s="50">
        <f t="shared" si="6"/>
        <v>387.8236363636364</v>
      </c>
      <c r="K42" s="50">
        <f>F42-531.41</f>
        <v>3734.6500000000005</v>
      </c>
      <c r="L42" s="50">
        <f>F42/531.41*100</f>
        <v>802.7812799909675</v>
      </c>
      <c r="M42" s="35">
        <f>E42-червень!E42</f>
        <v>112</v>
      </c>
      <c r="N42" s="35">
        <f>F42-червень!F42</f>
        <v>232.82000000000062</v>
      </c>
      <c r="O42" s="47">
        <f t="shared" si="3"/>
        <v>120.82000000000062</v>
      </c>
      <c r="P42" s="50">
        <f>N42/M42*100</f>
        <v>207.87500000000057</v>
      </c>
      <c r="Q42" s="50">
        <f>N42-79.51</f>
        <v>153.31000000000063</v>
      </c>
      <c r="R42" s="126">
        <f>N42/79.51</f>
        <v>2.9281851339454232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622.18</v>
      </c>
      <c r="G43" s="135">
        <f t="shared" si="0"/>
        <v>132.17999999999995</v>
      </c>
      <c r="H43" s="137">
        <f>F43/E43*100</f>
        <v>126.97551020408162</v>
      </c>
      <c r="I43" s="136">
        <f t="shared" si="1"/>
        <v>-347.82000000000005</v>
      </c>
      <c r="J43" s="136">
        <f t="shared" si="6"/>
        <v>64.1422680412371</v>
      </c>
      <c r="K43" s="136">
        <f>F43-359.18</f>
        <v>262.99999999999994</v>
      </c>
      <c r="L43" s="136">
        <f>F43/359.18*100</f>
        <v>173.2223397739295</v>
      </c>
      <c r="M43" s="35">
        <f>E43-червень!E43</f>
        <v>100</v>
      </c>
      <c r="N43" s="35">
        <f>F43-червень!F43</f>
        <v>39.43999999999994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45.39</v>
      </c>
      <c r="G44" s="135">
        <f t="shared" si="0"/>
        <v>45.39</v>
      </c>
      <c r="H44" s="137"/>
      <c r="I44" s="136">
        <f t="shared" si="1"/>
        <v>45.39</v>
      </c>
      <c r="J44" s="136"/>
      <c r="K44" s="136">
        <f>F44-0</f>
        <v>45.39</v>
      </c>
      <c r="L44" s="136"/>
      <c r="M44" s="35">
        <f>E44-червень!E44</f>
        <v>0</v>
      </c>
      <c r="N44" s="35">
        <f>F44-червень!F44</f>
        <v>0.240000000000002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3597.74</v>
      </c>
      <c r="G46" s="135">
        <f t="shared" si="0"/>
        <v>3525.74</v>
      </c>
      <c r="H46" s="137">
        <f>F46/E46*100</f>
        <v>4996.861111111111</v>
      </c>
      <c r="I46" s="136">
        <f t="shared" si="1"/>
        <v>3467.74</v>
      </c>
      <c r="J46" s="136">
        <f t="shared" si="6"/>
        <v>2767.4923076923073</v>
      </c>
      <c r="K46" s="136">
        <f>F46-56.15</f>
        <v>3541.5899999999997</v>
      </c>
      <c r="L46" s="136">
        <f>F46/56.15*100</f>
        <v>6407.373107747106</v>
      </c>
      <c r="M46" s="35">
        <f>E46-червень!E46</f>
        <v>-8</v>
      </c>
      <c r="N46" s="35">
        <f>F46-червень!F46</f>
        <v>193.13999999999987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2431.95</v>
      </c>
      <c r="G48" s="43">
        <f t="shared" si="0"/>
        <v>81.94999999999982</v>
      </c>
      <c r="H48" s="35">
        <f>F48/E48*100</f>
        <v>103.48723404255318</v>
      </c>
      <c r="I48" s="50">
        <f t="shared" si="1"/>
        <v>-1768.0500000000002</v>
      </c>
      <c r="J48" s="50">
        <f>F48/D48*100</f>
        <v>57.90357142857142</v>
      </c>
      <c r="K48" s="50">
        <f>F48-2346.09</f>
        <v>85.85999999999967</v>
      </c>
      <c r="L48" s="50">
        <f>F48/2346.09*100</f>
        <v>103.65970614938045</v>
      </c>
      <c r="M48" s="35">
        <f>E48-червень!E48</f>
        <v>370</v>
      </c>
      <c r="N48" s="35">
        <f>F48-червень!F48</f>
        <v>195.79999999999973</v>
      </c>
      <c r="O48" s="47">
        <f t="shared" si="3"/>
        <v>-174.20000000000027</v>
      </c>
      <c r="P48" s="50">
        <f aca="true" t="shared" si="7" ref="P48:P53">N48/M48*100</f>
        <v>52.91891891891885</v>
      </c>
      <c r="Q48" s="50">
        <f>N48-277.38</f>
        <v>-81.58000000000027</v>
      </c>
      <c r="R48" s="126">
        <f>N48/277.38</f>
        <v>0.7058908356766881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630.5</v>
      </c>
      <c r="G51" s="135">
        <f t="shared" si="0"/>
        <v>630.5</v>
      </c>
      <c r="H51" s="137"/>
      <c r="I51" s="136">
        <f t="shared" si="1"/>
        <v>630.5</v>
      </c>
      <c r="J51" s="136"/>
      <c r="K51" s="136">
        <f>F51-469.9</f>
        <v>160.60000000000002</v>
      </c>
      <c r="L51" s="138">
        <f>F51/469.9*100</f>
        <v>134.17748457118537</v>
      </c>
      <c r="M51" s="35">
        <f>E51-червень!E51</f>
        <v>0</v>
      </c>
      <c r="N51" s="35">
        <f>F51-червень!F51</f>
        <v>53.10000000000002</v>
      </c>
      <c r="O51" s="138">
        <f t="shared" si="3"/>
        <v>53.10000000000002</v>
      </c>
      <c r="P51" s="136"/>
      <c r="Q51" s="50">
        <f>N51-64.93</f>
        <v>-11.829999999999984</v>
      </c>
      <c r="R51" s="126">
        <f>N51/64.93</f>
        <v>0.8178037886955185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339314.29000000004</v>
      </c>
      <c r="G55" s="44">
        <f>F55-E55</f>
        <v>3775.890000000072</v>
      </c>
      <c r="H55" s="45">
        <f>F55/E55*100</f>
        <v>101.125322764846</v>
      </c>
      <c r="I55" s="31">
        <f>F55-D55</f>
        <v>-190708.30999999994</v>
      </c>
      <c r="J55" s="31">
        <f>F55/D55*100</f>
        <v>64.01883429121703</v>
      </c>
      <c r="K55" s="31">
        <f>K8+K33+K53+K54</f>
        <v>54545.154000000024</v>
      </c>
      <c r="L55" s="31">
        <f>F55/(F55-K55)*100</f>
        <v>119.15416634195921</v>
      </c>
      <c r="M55" s="18">
        <f>M8+M33+M53+M54</f>
        <v>47811.7</v>
      </c>
      <c r="N55" s="18">
        <f>N8+N33+N53+N54</f>
        <v>18315.634999999995</v>
      </c>
      <c r="O55" s="49">
        <f>N55-M55</f>
        <v>-29496.065000000002</v>
      </c>
      <c r="P55" s="31">
        <f>N55/M55*100</f>
        <v>38.3078514254879</v>
      </c>
      <c r="Q55" s="31">
        <f>N55-34768</f>
        <v>-16452.365000000005</v>
      </c>
      <c r="R55" s="171">
        <f>N55/34768</f>
        <v>0.526795760469397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534.7</v>
      </c>
      <c r="G64" s="43">
        <f t="shared" si="8"/>
        <v>134.70000000000005</v>
      </c>
      <c r="H64" s="35"/>
      <c r="I64" s="53">
        <f t="shared" si="9"/>
        <v>-1965.3</v>
      </c>
      <c r="J64" s="53">
        <f t="shared" si="11"/>
        <v>21.388</v>
      </c>
      <c r="K64" s="53">
        <f>F64-1678.13</f>
        <v>-1143.43</v>
      </c>
      <c r="L64" s="53">
        <f>F64/1678.13*100</f>
        <v>31.86284733602284</v>
      </c>
      <c r="M64" s="35">
        <f>E64-червень!E64</f>
        <v>0</v>
      </c>
      <c r="N64" s="35">
        <f>F64-червень!F64</f>
        <v>340.70000000000005</v>
      </c>
      <c r="O64" s="47">
        <f t="shared" si="10"/>
        <v>340.70000000000005</v>
      </c>
      <c r="P64" s="53"/>
      <c r="Q64" s="53">
        <f>N64-0.04</f>
        <v>340.66</v>
      </c>
      <c r="R64" s="129">
        <f>N64/0.04</f>
        <v>8517.500000000002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3262.83</v>
      </c>
      <c r="G65" s="43">
        <f t="shared" si="8"/>
        <v>-449.9300000000003</v>
      </c>
      <c r="H65" s="35">
        <f>F65/E65*100</f>
        <v>87.88152210215581</v>
      </c>
      <c r="I65" s="53">
        <f t="shared" si="9"/>
        <v>-8313.17</v>
      </c>
      <c r="J65" s="53">
        <f t="shared" si="11"/>
        <v>28.186161022805805</v>
      </c>
      <c r="K65" s="53">
        <f>F65-2235.97</f>
        <v>1026.8600000000001</v>
      </c>
      <c r="L65" s="53">
        <f>F65/2235.97*100</f>
        <v>145.92458753918882</v>
      </c>
      <c r="M65" s="35">
        <f>E65-червень!E65</f>
        <v>1213.0600000000004</v>
      </c>
      <c r="N65" s="35">
        <f>F65-червень!F65</f>
        <v>5.7599999999997635</v>
      </c>
      <c r="O65" s="47">
        <f t="shared" si="10"/>
        <v>-1207.3000000000006</v>
      </c>
      <c r="P65" s="53">
        <f>N65/M65*100</f>
        <v>0.4748322424282197</v>
      </c>
      <c r="Q65" s="53">
        <f>N65-450.01</f>
        <v>-444.2500000000002</v>
      </c>
      <c r="R65" s="129">
        <f>N65/450.01</f>
        <v>0.012799715561875877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5615.95</v>
      </c>
      <c r="G67" s="55">
        <f t="shared" si="8"/>
        <v>614.5899999999992</v>
      </c>
      <c r="H67" s="65">
        <f>F67/E67*100</f>
        <v>112.28845753954924</v>
      </c>
      <c r="I67" s="54">
        <f t="shared" si="9"/>
        <v>-11460.05</v>
      </c>
      <c r="J67" s="54">
        <f t="shared" si="11"/>
        <v>32.88797142187866</v>
      </c>
      <c r="K67" s="54">
        <f>K64+K65+K66</f>
        <v>937.6300000000001</v>
      </c>
      <c r="L67" s="54"/>
      <c r="M67" s="55">
        <f>M64+M65+M66</f>
        <v>1361.1600000000003</v>
      </c>
      <c r="N67" s="55">
        <f>N64+N65+N66</f>
        <v>346.4599999999998</v>
      </c>
      <c r="O67" s="54">
        <f t="shared" si="10"/>
        <v>-1014.7000000000005</v>
      </c>
      <c r="P67" s="54">
        <f>N67/M67*100</f>
        <v>25.453289841017934</v>
      </c>
      <c r="Q67" s="54">
        <f>N67-7985.28</f>
        <v>-7638.82</v>
      </c>
      <c r="R67" s="173">
        <f>N67/7985.28</f>
        <v>0.043387332692153543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5592.9800000000005</v>
      </c>
      <c r="G74" s="44">
        <f>F74-E74</f>
        <v>542.6300000000001</v>
      </c>
      <c r="H74" s="45">
        <f>F74/E74*100</f>
        <v>110.7444038531983</v>
      </c>
      <c r="I74" s="31">
        <f>F74-D74</f>
        <v>-11579.02</v>
      </c>
      <c r="J74" s="31">
        <f>F74/D74*100</f>
        <v>32.57034707663639</v>
      </c>
      <c r="K74" s="31">
        <f>K62+K67+K71+K72</f>
        <v>675.69</v>
      </c>
      <c r="L74" s="31"/>
      <c r="M74" s="27">
        <f>M62+M72+M67+M71</f>
        <v>1364.3600000000004</v>
      </c>
      <c r="N74" s="27">
        <f>N62+N72+N67+N71+N73</f>
        <v>333.3299999999998</v>
      </c>
      <c r="O74" s="31">
        <f>N74-M74</f>
        <v>-1031.0300000000007</v>
      </c>
      <c r="P74" s="31">
        <f>N74/M74*100</f>
        <v>24.4312351578762</v>
      </c>
      <c r="Q74" s="31">
        <f>N74-8104.96</f>
        <v>-7771.63</v>
      </c>
      <c r="R74" s="127">
        <f>N74/8104.96</f>
        <v>0.041126668114339834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344907.27</v>
      </c>
      <c r="G75" s="44">
        <f>F75-E75</f>
        <v>4318.520000000077</v>
      </c>
      <c r="H75" s="45">
        <f>F75/E75*100</f>
        <v>101.2679573238987</v>
      </c>
      <c r="I75" s="31">
        <f>F75-D75</f>
        <v>-202287.32999999996</v>
      </c>
      <c r="J75" s="31">
        <f>F75/D75*100</f>
        <v>63.03192136764508</v>
      </c>
      <c r="K75" s="31">
        <f>K55+K74</f>
        <v>55220.84400000003</v>
      </c>
      <c r="L75" s="31">
        <f>F75/(F75-K75)*100</f>
        <v>119.06228219336728</v>
      </c>
      <c r="M75" s="18">
        <f>M55+M74</f>
        <v>49176.06</v>
      </c>
      <c r="N75" s="18">
        <f>N55+N74</f>
        <v>18648.964999999993</v>
      </c>
      <c r="O75" s="31">
        <f>N75-M75</f>
        <v>-30527.095000000005</v>
      </c>
      <c r="P75" s="31">
        <f>N75/M75*100</f>
        <v>37.9228531118597</v>
      </c>
      <c r="Q75" s="31">
        <f>N75-42872.96</f>
        <v>-24223.995000000006</v>
      </c>
      <c r="R75" s="127">
        <f>N75/42872.96</f>
        <v>0.4349819793174997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15</v>
      </c>
      <c r="D77" s="4" t="s">
        <v>118</v>
      </c>
    </row>
    <row r="78" spans="2:17" ht="31.5">
      <c r="B78" s="71" t="s">
        <v>154</v>
      </c>
      <c r="C78" s="34">
        <f>IF(O55&lt;0,ABS(O55/C77),0)</f>
        <v>1966.4043333333334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42195</v>
      </c>
      <c r="D79" s="34">
        <v>1399.2</v>
      </c>
      <c r="N79" s="207"/>
      <c r="O79" s="207"/>
    </row>
    <row r="80" spans="3:15" ht="15.75">
      <c r="C80" s="111">
        <v>42194</v>
      </c>
      <c r="D80" s="34">
        <v>1697.6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42193</v>
      </c>
      <c r="D81" s="34">
        <v>1620.6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150571.78631999998</v>
      </c>
      <c r="E83" s="73"/>
      <c r="F83" s="156" t="s">
        <v>147</v>
      </c>
      <c r="G83" s="214" t="s">
        <v>149</v>
      </c>
      <c r="H83" s="214"/>
      <c r="I83" s="107">
        <v>141662.05411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288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07"/>
      <c r="O79" s="207"/>
    </row>
    <row r="80" spans="3:15" ht="15.75">
      <c r="C80" s="111">
        <v>42181</v>
      </c>
      <c r="D80" s="34">
        <v>8722.4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42180</v>
      </c>
      <c r="D81" s="34">
        <v>4146.6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152943.93305000002</v>
      </c>
      <c r="E83" s="73"/>
      <c r="F83" s="156" t="s">
        <v>147</v>
      </c>
      <c r="G83" s="214" t="s">
        <v>149</v>
      </c>
      <c r="H83" s="214"/>
      <c r="I83" s="107">
        <v>144034.20084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2015-07-13T08:16:47Z</cp:lastPrinted>
  <dcterms:created xsi:type="dcterms:W3CDTF">2003-07-28T11:27:56Z</dcterms:created>
  <dcterms:modified xsi:type="dcterms:W3CDTF">2015-07-13T08:25:07Z</dcterms:modified>
  <cp:category/>
  <cp:version/>
  <cp:contentType/>
  <cp:contentStatus/>
</cp:coreProperties>
</file>